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akgen.sharepoint.com/sites/PeakGen/Shared Documents/Commercial/CMP 315/Papers/"/>
    </mc:Choice>
  </mc:AlternateContent>
  <xr:revisionPtr revIDLastSave="37" documentId="8_{B6E9CDA8-EE01-4CFF-A21C-DB70337269E6}" xr6:coauthVersionLast="47" xr6:coauthVersionMax="47" xr10:uidLastSave="{06B5879A-FCA2-421C-B753-4641CE7BE4AF}"/>
  <bookViews>
    <workbookView xWindow="5400" yWindow="2745" windowWidth="41730" windowHeight="17100" xr2:uid="{1A94F227-DC5A-4D38-82E6-7F982A00A343}"/>
  </bookViews>
  <sheets>
    <sheet name="NS" sheetId="1" r:id="rId1"/>
    <sheet name="PJ" sheetId="2" r:id="rId2"/>
  </sheets>
  <definedNames>
    <definedName name="ANBC">NS!$X$10</definedName>
    <definedName name="WACC">NS!$X$6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2" l="1"/>
  <c r="K15" i="2"/>
  <c r="J15" i="2"/>
  <c r="M15" i="2" s="1"/>
  <c r="O15" i="2" s="1"/>
  <c r="Q15" i="2" s="1"/>
  <c r="I15" i="2"/>
  <c r="M14" i="2"/>
  <c r="L14" i="2"/>
  <c r="J14" i="2"/>
  <c r="I14" i="2"/>
  <c r="K14" i="2" s="1"/>
  <c r="N14" i="2" s="1"/>
  <c r="P14" i="2" s="1"/>
  <c r="R14" i="2" s="1"/>
  <c r="L13" i="2"/>
  <c r="J13" i="2"/>
  <c r="M13" i="2" s="1"/>
  <c r="I13" i="2"/>
  <c r="K13" i="2" s="1"/>
  <c r="N13" i="2" s="1"/>
  <c r="P13" i="2" s="1"/>
  <c r="R13" i="2" s="1"/>
  <c r="M8" i="2"/>
  <c r="L8" i="2"/>
  <c r="K8" i="2"/>
  <c r="J8" i="2"/>
  <c r="K7" i="2"/>
  <c r="L7" i="2" s="1"/>
  <c r="M7" i="2" s="1"/>
  <c r="J7" i="2"/>
  <c r="K6" i="2"/>
  <c r="L6" i="2" s="1"/>
  <c r="M6" i="2" s="1"/>
  <c r="J6" i="2"/>
  <c r="L5" i="2"/>
  <c r="M5" i="2" s="1"/>
  <c r="K5" i="2"/>
  <c r="J5" i="2"/>
  <c r="O14" i="2" l="1"/>
  <c r="Q14" i="2" s="1"/>
  <c r="T14" i="2"/>
  <c r="X5" i="2"/>
  <c r="N15" i="2"/>
  <c r="P15" i="2" s="1"/>
  <c r="R15" i="2" s="1"/>
  <c r="O13" i="2"/>
  <c r="Q13" i="2" s="1"/>
  <c r="T13" i="2"/>
  <c r="T15" i="2"/>
  <c r="I16" i="1"/>
  <c r="I15" i="1"/>
  <c r="I14" i="1"/>
  <c r="I9" i="1"/>
  <c r="I8" i="1"/>
  <c r="I7" i="1"/>
  <c r="I6" i="1"/>
  <c r="K9" i="1"/>
  <c r="K8" i="1"/>
  <c r="K7" i="1"/>
  <c r="K6" i="1"/>
  <c r="S14" i="2" l="1"/>
  <c r="U14" i="2" s="1"/>
  <c r="S15" i="2"/>
  <c r="U15" i="2" s="1"/>
  <c r="S13" i="2"/>
  <c r="L9" i="1"/>
  <c r="M9" i="1" s="1"/>
  <c r="L8" i="1"/>
  <c r="M8" i="1" s="1"/>
  <c r="L6" i="1"/>
  <c r="M6" i="1" s="1"/>
  <c r="L7" i="1"/>
  <c r="M7" i="1" s="1"/>
  <c r="U13" i="2" l="1"/>
  <c r="D21" i="2" s="1"/>
  <c r="D20" i="2"/>
  <c r="X10" i="1"/>
  <c r="J14" i="1" s="1"/>
  <c r="K14" i="1" s="1"/>
  <c r="J16" i="1" l="1"/>
  <c r="K16" i="1" s="1"/>
  <c r="L16" i="1" s="1"/>
  <c r="M16" i="1" s="1"/>
  <c r="J15" i="1"/>
  <c r="K15" i="1" s="1"/>
  <c r="L15" i="1" s="1"/>
  <c r="M15" i="1" s="1"/>
  <c r="L14" i="1"/>
  <c r="M14" i="1" s="1"/>
  <c r="D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tc={4D411BE0-C319-461A-9736-F3C8E55D48EF}</author>
    <author>tc={171901C3-0FF9-492F-9CA2-1610FC1AF1E1}</author>
    <author>tc={8AB11F71-E3D3-45E7-B04F-470282704CF4}</author>
    <author>tc={9E51B734-B54D-4A59-BC67-5CDDE66A571A}</author>
    <author>tc={A4AAD544-A24C-48CC-95F9-82F3FA8861E2}</author>
    <author>tc={52F980B8-0E81-4DE2-8143-85630FE71D38}</author>
  </authors>
  <commentList>
    <comment ref="E5" authorId="0" shapeId="0" xr:uid="{4D411BE0-C319-461A-9736-F3C8E55D48E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G5" authorId="1" shapeId="0" xr:uid="{171901C3-0FF9-492F-9CA2-1610FC1AF1E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2" shapeId="0" xr:uid="{8AB11F71-E3D3-45E7-B04F-470282704CF4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new build circuit, therefore no cost of any previous investment</t>
      </text>
    </comment>
    <comment ref="B14" authorId="3" shapeId="0" xr:uid="{9E51B734-B54D-4A59-BC67-5CDDE66A571A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5" authorId="4" shapeId="0" xr:uid="{A4AAD544-A24C-48CC-95F9-82F3FA8861E2}">
      <text>
        <t>[Threaded comment]
Your version of Excel allows you to read this threaded comment; however, any edits to it will get removed if the file is opened in a newer version of Excel. Learn more: https://go.microsoft.com/fwlink/?linkid=870924
Comment:
    40 years after the asset was built, additional work is undetaken to extend the life of the asset from 50 to 70 years</t>
      </text>
    </comment>
    <comment ref="B16" authorId="5" shapeId="0" xr:uid="{52F980B8-0E81-4DE2-8143-85630FE71D38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circuit is reconductored 45 years into its life. The life of the asset is extended to 70 years and the circuit capaicity is increased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tc={C085A2C9-80D9-46FF-9363-5D16C3E7B6D8}</author>
    <author>tc={E603EF48-8ED0-4F58-A48E-678B73C8CA3A}</author>
    <author>tc={22B53E3E-A62A-4901-9BC8-47EBB28E8854}</author>
    <author>tc={452080F0-1A25-41ED-ACCF-0EABB6E9F0F8}</author>
    <author>tc={0E2FF86C-7733-4536-AA1F-388D3FC48D5E}</author>
    <author>tc={89D98C05-8438-485B-AF82-36368A2852E0}</author>
  </authors>
  <commentList>
    <comment ref="E4" authorId="0" shapeId="0" xr:uid="{C085A2C9-80D9-46FF-9363-5D16C3E7B6D8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G4" authorId="1" shapeId="0" xr:uid="{E603EF48-8ED0-4F58-A48E-678B73C8CA3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4" authorId="2" shapeId="0" xr:uid="{22B53E3E-A62A-4901-9BC8-47EBB28E8854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new build circuit, therefore no cost of any previous investment</t>
      </text>
    </comment>
    <comment ref="B13" authorId="3" shapeId="0" xr:uid="{452080F0-1A25-41ED-ACCF-0EABB6E9F0F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4" authorId="4" shapeId="0" xr:uid="{0E2FF86C-7733-4536-AA1F-388D3FC48D5E}">
      <text>
        <t>[Threaded comment]
Your version of Excel allows you to read this threaded comment; however, any edits to it will get removed if the file is opened in a newer version of Excel. Learn more: https://go.microsoft.com/fwlink/?linkid=870924
Comment:
    40 years after the asset was built, additional work is undetaken to extend the life of the asset from 50 to 70 years</t>
      </text>
    </comment>
    <comment ref="B15" authorId="5" shapeId="0" xr:uid="{89D98C05-8438-485B-AF82-36368A2852E0}">
      <text>
        <t>[Threaded comment]
Your version of Excel allows you to read this threaded comment; however, any edits to it will get removed if the file is opened in a newer version of Excel. Learn more: https://go.microsoft.com/fwlink/?linkid=870924
Comment:
    In this example, the circuit is reconductored 45 years into its life. The life of the asset is extended to 70 years and the circuit capaicity is increased</t>
      </text>
    </comment>
  </commentList>
</comments>
</file>

<file path=xl/sharedStrings.xml><?xml version="1.0" encoding="utf-8"?>
<sst xmlns="http://schemas.openxmlformats.org/spreadsheetml/2006/main" count="80" uniqueCount="46">
  <si>
    <t>New Build Circuit</t>
  </si>
  <si>
    <t>NB1</t>
  </si>
  <si>
    <t>Length (km)</t>
  </si>
  <si>
    <t>Capital Cost (£)</t>
  </si>
  <si>
    <t>Life( years)</t>
  </si>
  <si>
    <t>NB2</t>
  </si>
  <si>
    <t>NB3</t>
  </si>
  <si>
    <t>NB4</t>
  </si>
  <si>
    <t>Enhancement of existing</t>
  </si>
  <si>
    <t>Constants</t>
  </si>
  <si>
    <t>New life (years)</t>
  </si>
  <si>
    <t>Recon 1</t>
  </si>
  <si>
    <t>Recon 2</t>
  </si>
  <si>
    <t>Recon 3</t>
  </si>
  <si>
    <t>New Capacity (MVA)</t>
  </si>
  <si>
    <t>Time from initial build (years)</t>
  </si>
  <si>
    <t>NPV of total (£)</t>
  </si>
  <si>
    <t>WACC</t>
  </si>
  <si>
    <t>Initial Capacity (MVA)</t>
  </si>
  <si>
    <t>Implied cost of previous Build (£)</t>
  </si>
  <si>
    <t>NPV of total Build (£)</t>
  </si>
  <si>
    <t>Cost per MW.km (£/km)</t>
  </si>
  <si>
    <t>Annualised Cost per MWkm (£/MW.km)</t>
  </si>
  <si>
    <t>Average New Build Cost (£/MWkm)</t>
  </si>
  <si>
    <t>Expansion Constant</t>
  </si>
  <si>
    <t>Time weighted avaeage capacity (MVA)</t>
  </si>
  <si>
    <t>Increase in capacity</t>
  </si>
  <si>
    <t>Increase in life</t>
  </si>
  <si>
    <t>B - Remaining Cap MWyears</t>
  </si>
  <si>
    <t>A - Cap Increase MWyears</t>
  </si>
  <si>
    <t>C - Life Extension MWyears</t>
  </si>
  <si>
    <t>MWYears</t>
  </si>
  <si>
    <t>Initial £/MWkm</t>
  </si>
  <si>
    <t>A - Apportioned Cost</t>
  </si>
  <si>
    <t>C - Apportioned Cost</t>
  </si>
  <si>
    <t>A - Cost per MW.km (£/km)</t>
  </si>
  <si>
    <t>C - Cost per MW.km (£/km)</t>
  </si>
  <si>
    <t>B - Annualised Cost per MWkm (£/MW.km)</t>
  </si>
  <si>
    <t>A - Annualised Cost per MWkm (£/MW.km)</t>
  </si>
  <si>
    <t>C - Annualised Cost per MWkm (£/MW.km)</t>
  </si>
  <si>
    <t>Total - Annualised Cost per MWkm (£/MW.km)</t>
  </si>
  <si>
    <t>MWYear weight</t>
  </si>
  <si>
    <t>km weight</t>
  </si>
  <si>
    <t>Example showing A, B and C for above</t>
  </si>
  <si>
    <t>Worked example using  Paul Jones method</t>
  </si>
  <si>
    <t>Worked example using Nick Sillito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</si>
</sst>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3" fontId="0" fillId="2" borderId="0" xfId="0" applyNumberFormat="1" applyFill="1"/>
    <xf numFmtId="3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4" fontId="0" fillId="0" borderId="0" xfId="0" applyNumberFormat="1"/>
    <xf numFmtId="2" fontId="0" fillId="3" borderId="0" xfId="0" applyNumberFormat="1" applyFill="1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2" fontId="0" fillId="0" borderId="0" xfId="0" applyNumberFormat="1" applyFill="1"/>
    <xf numFmtId="0" fontId="0" fillId="0" borderId="0" xfId="0" applyAlignment="1">
      <alignment wrapText="1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</xdr:colOff>
      <xdr:row>21</xdr:row>
      <xdr:rowOff>19050</xdr:rowOff>
    </xdr:from>
    <xdr:ext cx="5810778" cy="3546645"/>
    <xdr:pic>
      <xdr:nvPicPr>
        <xdr:cNvPr id="4" name="Picture 3">
          <a:extLst>
            <a:ext uri="{FF2B5EF4-FFF2-40B4-BE49-F238E27FC236}">
              <a16:creationId xmlns:a16="http://schemas.microsoft.com/office/drawing/2014/main" id="{F6F3D7A7-FD79-4901-B5C4-683D7CC6B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36250" y="8210550"/>
          <a:ext cx="5810778" cy="354664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k Sillito" id="{2C075CE6-65CE-4403-B840-1065F1E9C75F}" userId="S::nsillito@peakgen.com::728306bb-6649-42fd-8271-fea0105d643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5" dT="2022-06-10T09:30:20.32" personId="{2C075CE6-65CE-4403-B840-1065F1E9C75F}" id="{4D411BE0-C319-461A-9736-F3C8E55D48EF}">
    <text>For a new build circuit, this value is always 0 (capital expenditure is at time of build)</text>
  </threadedComment>
  <threadedComment ref="G5" dT="2022-06-10T09:31:24.46" personId="{2C075CE6-65CE-4403-B840-1065F1E9C75F}" id="{171901C3-0FF9-492F-9CA2-1610FC1AF1E1}">
    <text>For a new build circuit, there was no circuit before the investment, therefore the inital capacity is always 0</text>
  </threadedComment>
  <threadedComment ref="J5" dT="2022-06-10T09:32:03.22" personId="{2C075CE6-65CE-4403-B840-1065F1E9C75F}" id="{8AB11F71-E3D3-45E7-B04F-470282704CF4}">
    <text>This is a new build circuit, therefore no cost of any previous investment</text>
  </threadedComment>
  <threadedComment ref="B14" dT="2022-06-10T09:43:14.23" personId="{2C075CE6-65CE-4403-B840-1065F1E9C75F}" id="{9E51B734-B54D-4A59-BC67-5CDDE66A571A}">
    <text>This is a simple reconductoring, 30 years after the asset was buit. It increases the circuit capacity, but does not change the asset life</text>
  </threadedComment>
  <threadedComment ref="B15" dT="2022-06-10T09:44:28.73" personId="{2C075CE6-65CE-4403-B840-1065F1E9C75F}" id="{A4AAD544-A24C-48CC-95F9-82F3FA8861E2}">
    <text>40 years after the asset was built, additional work is undetaken to extend the life of the asset from 50 to 70 years</text>
  </threadedComment>
  <threadedComment ref="B16" dT="2022-06-10T09:45:41.52" personId="{2C075CE6-65CE-4403-B840-1065F1E9C75F}" id="{52F980B8-0E81-4DE2-8143-85630FE71D38}">
    <text>In this example, the circuit is reconductored 45 years into its life. The life of the asset is extended to 70 years and the circuit capaicity is increased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4" dT="2022-06-10T09:30:20.32" personId="{2C075CE6-65CE-4403-B840-1065F1E9C75F}" id="{C085A2C9-80D9-46FF-9363-5D16C3E7B6D8}">
    <text>For a new build circuit, this value is always 0 (capital expenditure is at time of build)</text>
  </threadedComment>
  <threadedComment ref="G4" dT="2022-06-10T09:31:24.46" personId="{2C075CE6-65CE-4403-B840-1065F1E9C75F}" id="{E603EF48-8ED0-4F58-A48E-678B73C8CA3A}">
    <text>For a new build circuit, there was no circuit before the investment, therefore the inital capacity is always 0</text>
  </threadedComment>
  <threadedComment ref="J4" dT="2022-06-10T09:32:03.22" personId="{2C075CE6-65CE-4403-B840-1065F1E9C75F}" id="{22B53E3E-A62A-4901-9BC8-47EBB28E8854}">
    <text>This is a new build circuit, therefore no cost of any previous investment</text>
  </threadedComment>
  <threadedComment ref="B13" dT="2022-06-10T09:43:14.23" personId="{2C075CE6-65CE-4403-B840-1065F1E9C75F}" id="{452080F0-1A25-41ED-ACCF-0EABB6E9F0F8}">
    <text>This is a simple reconductoring, 30 years after the asset was buit. It increases the circuit capacity, but does not change the asset life</text>
  </threadedComment>
  <threadedComment ref="B14" dT="2022-06-10T09:44:28.73" personId="{2C075CE6-65CE-4403-B840-1065F1E9C75F}" id="{0E2FF86C-7733-4536-AA1F-388D3FC48D5E}">
    <text>40 years after the asset was built, additional work is undetaken to extend the life of the asset from 50 to 70 years</text>
  </threadedComment>
  <threadedComment ref="B15" dT="2022-06-10T09:45:41.52" personId="{2C075CE6-65CE-4403-B840-1065F1E9C75F}" id="{89D98C05-8438-485B-AF82-36368A2852E0}">
    <text>In this example, the circuit is reconductored 45 years into its life. The life of the asset is extended to 70 years and the circuit capaicity is increased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A9F04-E647-4827-89E7-A6E3E1DDCDED}">
  <dimension ref="B2:X21"/>
  <sheetViews>
    <sheetView tabSelected="1" topLeftCell="A2" workbookViewId="0">
      <selection activeCell="B20" sqref="B20"/>
    </sheetView>
  </sheetViews>
  <sheetFormatPr defaultRowHeight="15" x14ac:dyDescent="0.25"/>
  <cols>
    <col min="2" max="2" width="21.5703125" bestFit="1" customWidth="1"/>
    <col min="3" max="3" width="14" customWidth="1"/>
    <col min="4" max="4" width="13.7109375" customWidth="1"/>
    <col min="5" max="5" width="12.85546875" customWidth="1"/>
    <col min="6" max="6" width="12.28515625" customWidth="1"/>
    <col min="7" max="7" width="15.5703125" customWidth="1"/>
    <col min="8" max="9" width="12.7109375" customWidth="1"/>
    <col min="10" max="10" width="34.5703125" customWidth="1"/>
    <col min="11" max="11" width="14.7109375" bestFit="1" customWidth="1"/>
    <col min="12" max="12" width="14.7109375" customWidth="1"/>
    <col min="13" max="13" width="18.42578125" bestFit="1" customWidth="1"/>
    <col min="14" max="15" width="13.5703125" bestFit="1" customWidth="1"/>
    <col min="16" max="16" width="11" bestFit="1" customWidth="1"/>
    <col min="23" max="23" width="31.5703125" customWidth="1"/>
  </cols>
  <sheetData>
    <row r="2" spans="2:24" x14ac:dyDescent="0.25">
      <c r="B2" s="14" t="s">
        <v>45</v>
      </c>
    </row>
    <row r="4" spans="2:24" x14ac:dyDescent="0.25">
      <c r="B4" s="1" t="s">
        <v>0</v>
      </c>
      <c r="W4" s="1" t="s">
        <v>9</v>
      </c>
    </row>
    <row r="5" spans="2:24" x14ac:dyDescent="0.25">
      <c r="C5" t="s">
        <v>2</v>
      </c>
      <c r="D5" t="s">
        <v>3</v>
      </c>
      <c r="E5" t="s">
        <v>15</v>
      </c>
      <c r="F5" t="s">
        <v>4</v>
      </c>
      <c r="G5" t="s">
        <v>18</v>
      </c>
      <c r="H5" t="s">
        <v>14</v>
      </c>
      <c r="I5" t="s">
        <v>25</v>
      </c>
      <c r="J5" t="s">
        <v>19</v>
      </c>
      <c r="K5" t="s">
        <v>20</v>
      </c>
      <c r="L5" t="s">
        <v>21</v>
      </c>
      <c r="M5" t="s">
        <v>22</v>
      </c>
    </row>
    <row r="6" spans="2:24" x14ac:dyDescent="0.25">
      <c r="B6" t="s">
        <v>1</v>
      </c>
      <c r="C6" s="3">
        <v>10</v>
      </c>
      <c r="D6" s="3">
        <v>5000000</v>
      </c>
      <c r="E6" s="2">
        <v>0</v>
      </c>
      <c r="F6" s="3">
        <v>50</v>
      </c>
      <c r="G6" s="3">
        <v>0</v>
      </c>
      <c r="H6" s="3">
        <v>2000</v>
      </c>
      <c r="I6" s="6">
        <f>(G6*E6+ (F6-E6)*H6)/F6</f>
        <v>2000</v>
      </c>
      <c r="J6" s="6">
        <v>0</v>
      </c>
      <c r="K6" s="4">
        <f>J6+D6*(1+WACC)^-E6</f>
        <v>5000000</v>
      </c>
      <c r="L6" s="4">
        <f>K6/(C6*I6)</f>
        <v>250</v>
      </c>
      <c r="M6" s="7">
        <f>WACC/(1-(1+WACC)^-F6)*L6</f>
        <v>14.765362530754407</v>
      </c>
      <c r="N6" s="5"/>
      <c r="W6" t="s">
        <v>17</v>
      </c>
      <c r="X6">
        <v>5.5E-2</v>
      </c>
    </row>
    <row r="7" spans="2:24" x14ac:dyDescent="0.25">
      <c r="B7" t="s">
        <v>5</v>
      </c>
      <c r="C7" s="3">
        <v>20</v>
      </c>
      <c r="D7" s="3">
        <v>11000000</v>
      </c>
      <c r="E7" s="2">
        <v>0</v>
      </c>
      <c r="F7" s="3">
        <v>50</v>
      </c>
      <c r="G7" s="3">
        <v>0</v>
      </c>
      <c r="H7" s="3">
        <v>2500</v>
      </c>
      <c r="I7" s="6">
        <f>(G7*E7+ (F7-E7)*H7)/F7</f>
        <v>2500</v>
      </c>
      <c r="J7" s="6">
        <v>0</v>
      </c>
      <c r="K7" s="4">
        <f>J7+D7*(1+WACC)^-E7</f>
        <v>11000000</v>
      </c>
      <c r="L7" s="4">
        <f>K7/(C7*I7)</f>
        <v>220</v>
      </c>
      <c r="M7" s="7">
        <f>WACC/(1-(1+WACC)^-F7)*L7</f>
        <v>12.993519027063877</v>
      </c>
      <c r="N7" s="5"/>
    </row>
    <row r="8" spans="2:24" x14ac:dyDescent="0.25">
      <c r="B8" t="s">
        <v>6</v>
      </c>
      <c r="C8" s="3">
        <v>15</v>
      </c>
      <c r="D8" s="3">
        <v>8625000</v>
      </c>
      <c r="E8" s="2">
        <v>0</v>
      </c>
      <c r="F8" s="3">
        <v>50</v>
      </c>
      <c r="G8" s="3">
        <v>0</v>
      </c>
      <c r="H8" s="3">
        <v>2700</v>
      </c>
      <c r="I8" s="6">
        <f>(G8*E8+ (F8-E8)*H8)/F8</f>
        <v>2700</v>
      </c>
      <c r="J8" s="6">
        <v>0</v>
      </c>
      <c r="K8" s="4">
        <f>J8+D8*(1+WACC)^-E8</f>
        <v>8625000</v>
      </c>
      <c r="L8" s="4">
        <f>K8/(C8*I8)</f>
        <v>212.96296296296296</v>
      </c>
      <c r="M8" s="7">
        <f>WACC/(1-(1+WACC)^-F8)*L8</f>
        <v>12.577901415087087</v>
      </c>
      <c r="N8" s="5"/>
    </row>
    <row r="9" spans="2:24" x14ac:dyDescent="0.25">
      <c r="B9" t="s">
        <v>7</v>
      </c>
      <c r="C9" s="3">
        <v>75</v>
      </c>
      <c r="D9" s="3">
        <v>52500000</v>
      </c>
      <c r="E9" s="2">
        <v>0</v>
      </c>
      <c r="F9" s="3">
        <v>50</v>
      </c>
      <c r="G9" s="3">
        <v>0</v>
      </c>
      <c r="H9" s="3">
        <v>3120</v>
      </c>
      <c r="I9" s="6">
        <f>(G9*E9+ (F9-E9)*H9)/F9</f>
        <v>3120</v>
      </c>
      <c r="J9" s="6">
        <v>0</v>
      </c>
      <c r="K9" s="4">
        <f>J9+D9*(1+WACC)^-E9</f>
        <v>52500000</v>
      </c>
      <c r="L9" s="4">
        <f>K9/(C9*I9)</f>
        <v>224.35897435897436</v>
      </c>
      <c r="M9" s="7">
        <f>WACC/(1-(1+WACC)^-F9)*L9</f>
        <v>13.250966373753954</v>
      </c>
      <c r="N9" s="5"/>
    </row>
    <row r="10" spans="2:24" x14ac:dyDescent="0.25">
      <c r="C10" s="4"/>
      <c r="D10" s="4"/>
      <c r="E10" s="4"/>
      <c r="F10" s="4"/>
      <c r="G10" s="4"/>
      <c r="W10" t="s">
        <v>23</v>
      </c>
      <c r="X10" s="5">
        <f>SUMPRODUCT(L6:L9, C6:C9) / SUM(C6:C9)</f>
        <v>224.34472934472936</v>
      </c>
    </row>
    <row r="11" spans="2:24" x14ac:dyDescent="0.25">
      <c r="D11" s="4"/>
    </row>
    <row r="12" spans="2:24" x14ac:dyDescent="0.25">
      <c r="B12" s="1" t="s">
        <v>8</v>
      </c>
    </row>
    <row r="13" spans="2:24" x14ac:dyDescent="0.25">
      <c r="C13" t="s">
        <v>2</v>
      </c>
      <c r="D13" t="s">
        <v>3</v>
      </c>
      <c r="E13" t="s">
        <v>15</v>
      </c>
      <c r="F13" t="s">
        <v>10</v>
      </c>
      <c r="G13" t="s">
        <v>18</v>
      </c>
      <c r="H13" t="s">
        <v>14</v>
      </c>
      <c r="I13" t="s">
        <v>25</v>
      </c>
      <c r="J13" t="s">
        <v>19</v>
      </c>
      <c r="K13" t="s">
        <v>16</v>
      </c>
      <c r="L13" t="s">
        <v>21</v>
      </c>
      <c r="M13" t="s">
        <v>22</v>
      </c>
    </row>
    <row r="14" spans="2:24" x14ac:dyDescent="0.25">
      <c r="B14" t="s">
        <v>11</v>
      </c>
      <c r="C14" s="2">
        <v>75</v>
      </c>
      <c r="D14" s="3">
        <v>18750000</v>
      </c>
      <c r="E14" s="2">
        <v>30</v>
      </c>
      <c r="F14" s="2">
        <v>50</v>
      </c>
      <c r="G14" s="3">
        <v>2000</v>
      </c>
      <c r="H14" s="3">
        <v>2500</v>
      </c>
      <c r="I14" s="6">
        <f>(G14*E14+ (F14-E14)*H14)/F14</f>
        <v>2200</v>
      </c>
      <c r="J14" s="4">
        <f>ANBC*C14*G14</f>
        <v>33651709.401709408</v>
      </c>
      <c r="K14" s="4">
        <f>J14+D14*(1+WACC)^-E14</f>
        <v>37413784.693989784</v>
      </c>
      <c r="L14" s="4">
        <f>K14/(C14*I14)</f>
        <v>226.75021026660474</v>
      </c>
      <c r="M14" s="7">
        <f>WACC/(1-(1+WACC)^-F14)*L14</f>
        <v>13.392196234044835</v>
      </c>
      <c r="N14" s="5"/>
    </row>
    <row r="15" spans="2:24" x14ac:dyDescent="0.25">
      <c r="B15" t="s">
        <v>12</v>
      </c>
      <c r="C15" s="2">
        <v>50</v>
      </c>
      <c r="D15" s="3">
        <v>7500000</v>
      </c>
      <c r="E15" s="2">
        <v>40</v>
      </c>
      <c r="F15" s="2">
        <v>70</v>
      </c>
      <c r="G15" s="3">
        <v>1750</v>
      </c>
      <c r="H15" s="3">
        <v>1750</v>
      </c>
      <c r="I15" s="6">
        <f>(G15*E15+ (F15-E15)*H15)/F15</f>
        <v>1750</v>
      </c>
      <c r="J15" s="4">
        <f>ANBC*C15*G15</f>
        <v>19630163.817663819</v>
      </c>
      <c r="K15" s="4">
        <f>J15+D15*(1+WACC)^-E15</f>
        <v>20511137.384947814</v>
      </c>
      <c r="L15" s="4">
        <f>K15/(C15*I15)</f>
        <v>234.41299868511788</v>
      </c>
      <c r="M15" s="7">
        <f>WACC/(1-(1+WACC)^-F15)*L15</f>
        <v>13.203908289871963</v>
      </c>
      <c r="N15" s="5"/>
    </row>
    <row r="16" spans="2:24" x14ac:dyDescent="0.25">
      <c r="B16" t="s">
        <v>13</v>
      </c>
      <c r="C16" s="2">
        <v>350</v>
      </c>
      <c r="D16" s="3">
        <v>61250000</v>
      </c>
      <c r="E16" s="2">
        <v>45</v>
      </c>
      <c r="F16" s="2">
        <v>70</v>
      </c>
      <c r="G16" s="3">
        <v>2750</v>
      </c>
      <c r="H16" s="3">
        <v>3150</v>
      </c>
      <c r="I16" s="6">
        <f>(G16*E16+ (F16-E16)*H16)/F16</f>
        <v>2892.8571428571427</v>
      </c>
      <c r="J16" s="4">
        <f>ANBC*C16*G16</f>
        <v>215931801.994302</v>
      </c>
      <c r="K16" s="4">
        <f>J16+D16*(1+WACC)^-E16</f>
        <v>221436650.98039949</v>
      </c>
      <c r="L16" s="4">
        <f>K16/(C16*I16)</f>
        <v>218.70286516582669</v>
      </c>
      <c r="M16" s="7">
        <f>WACC/(1-(1+WACC)^-F16)*L16</f>
        <v>12.318995066740477</v>
      </c>
      <c r="N16" s="5"/>
    </row>
    <row r="17" spans="3:12" x14ac:dyDescent="0.25">
      <c r="L17" s="4"/>
    </row>
    <row r="20" spans="3:12" x14ac:dyDescent="0.25">
      <c r="C20" t="s">
        <v>24</v>
      </c>
      <c r="D20" s="8">
        <f>(SUMPRODUCT(M6:M9, C6:C9) +SUMPRODUCT(M14:M16,C14:C16)) / SUM(C6:C9, C14:C16)</f>
        <v>12.716425900021516</v>
      </c>
    </row>
    <row r="21" spans="3:12" x14ac:dyDescent="0.25">
      <c r="D21" s="8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07C0F-FFDA-4B34-99F0-76B770BFC417}">
  <dimension ref="B2:X21"/>
  <sheetViews>
    <sheetView workbookViewId="0">
      <selection activeCell="Z21" sqref="Z21"/>
    </sheetView>
  </sheetViews>
  <sheetFormatPr defaultRowHeight="15" x14ac:dyDescent="0.25"/>
  <cols>
    <col min="4" max="4" width="14.42578125" bestFit="1" customWidth="1"/>
    <col min="11" max="11" width="35.28515625" bestFit="1" customWidth="1"/>
    <col min="14" max="15" width="11.5703125" bestFit="1" customWidth="1"/>
  </cols>
  <sheetData>
    <row r="2" spans="2:24" x14ac:dyDescent="0.25">
      <c r="B2" s="14" t="s">
        <v>44</v>
      </c>
    </row>
    <row r="3" spans="2:24" x14ac:dyDescent="0.25">
      <c r="S3" s="12"/>
    </row>
    <row r="4" spans="2:24" x14ac:dyDescent="0.25">
      <c r="C4" t="s">
        <v>2</v>
      </c>
      <c r="D4" t="s">
        <v>3</v>
      </c>
      <c r="E4" t="s">
        <v>15</v>
      </c>
      <c r="F4" t="s">
        <v>4</v>
      </c>
      <c r="G4" t="s">
        <v>18</v>
      </c>
      <c r="H4" t="s">
        <v>14</v>
      </c>
      <c r="J4" t="s">
        <v>31</v>
      </c>
      <c r="K4" t="s">
        <v>20</v>
      </c>
      <c r="L4" t="s">
        <v>21</v>
      </c>
      <c r="M4" t="s">
        <v>22</v>
      </c>
    </row>
    <row r="5" spans="2:24" x14ac:dyDescent="0.25">
      <c r="B5" t="s">
        <v>1</v>
      </c>
      <c r="C5" s="3">
        <v>10</v>
      </c>
      <c r="D5" s="3">
        <v>5000000</v>
      </c>
      <c r="E5" s="2">
        <v>0</v>
      </c>
      <c r="F5" s="3">
        <v>50</v>
      </c>
      <c r="G5" s="3">
        <v>0</v>
      </c>
      <c r="H5" s="3">
        <v>2000</v>
      </c>
      <c r="I5" s="6"/>
      <c r="J5" s="6">
        <f>+H5*F5</f>
        <v>100000</v>
      </c>
      <c r="K5" s="4">
        <f>D5*(1+WACC)^-E5</f>
        <v>5000000</v>
      </c>
      <c r="L5" s="4">
        <f>K5/(C5*H5)</f>
        <v>250</v>
      </c>
      <c r="M5" s="7">
        <f>WACC/(1-(1+WACC)^-F5)*L5</f>
        <v>14.765362530754407</v>
      </c>
      <c r="W5" t="s">
        <v>32</v>
      </c>
      <c r="X5">
        <f>SUMPRODUCT(J5:J8,M5:M8)/SUM(J5:J8)</f>
        <v>13.305995303877518</v>
      </c>
    </row>
    <row r="6" spans="2:24" x14ac:dyDescent="0.25">
      <c r="B6" t="s">
        <v>5</v>
      </c>
      <c r="C6" s="3">
        <v>20</v>
      </c>
      <c r="D6" s="3">
        <v>11000000</v>
      </c>
      <c r="E6" s="2">
        <v>0</v>
      </c>
      <c r="F6" s="3">
        <v>50</v>
      </c>
      <c r="G6" s="3">
        <v>0</v>
      </c>
      <c r="H6" s="3">
        <v>2500</v>
      </c>
      <c r="I6" s="6"/>
      <c r="J6" s="6">
        <f>+H6*F6</f>
        <v>125000</v>
      </c>
      <c r="K6" s="4">
        <f>D6*(1+WACC)^-E6</f>
        <v>11000000</v>
      </c>
      <c r="L6" s="4">
        <f>K6/(C6*H6)</f>
        <v>220</v>
      </c>
      <c r="M6" s="7">
        <f>WACC/(1-(1+WACC)^-F6)*L6</f>
        <v>12.993519027063877</v>
      </c>
    </row>
    <row r="7" spans="2:24" x14ac:dyDescent="0.25">
      <c r="B7" t="s">
        <v>6</v>
      </c>
      <c r="C7" s="3">
        <v>15</v>
      </c>
      <c r="D7" s="3">
        <v>8625000</v>
      </c>
      <c r="E7" s="2">
        <v>0</v>
      </c>
      <c r="F7" s="3">
        <v>50</v>
      </c>
      <c r="G7" s="3">
        <v>0</v>
      </c>
      <c r="H7" s="3">
        <v>2700</v>
      </c>
      <c r="I7" s="6"/>
      <c r="J7" s="6">
        <f>+H7*F7</f>
        <v>135000</v>
      </c>
      <c r="K7" s="4">
        <f>D7*(1+WACC)^-E7</f>
        <v>8625000</v>
      </c>
      <c r="L7" s="4">
        <f>K7/(C7*H7)</f>
        <v>212.96296296296296</v>
      </c>
      <c r="M7" s="7">
        <f>WACC/(1-(1+WACC)^-F7)*L7</f>
        <v>12.577901415087087</v>
      </c>
    </row>
    <row r="8" spans="2:24" x14ac:dyDescent="0.25">
      <c r="B8" t="s">
        <v>7</v>
      </c>
      <c r="C8" s="3">
        <v>75</v>
      </c>
      <c r="D8" s="3">
        <v>52500000</v>
      </c>
      <c r="E8" s="2">
        <v>0</v>
      </c>
      <c r="F8" s="3">
        <v>50</v>
      </c>
      <c r="G8" s="3">
        <v>0</v>
      </c>
      <c r="H8" s="3">
        <v>3120</v>
      </c>
      <c r="I8" s="6"/>
      <c r="J8" s="6">
        <f>+H8*F8</f>
        <v>156000</v>
      </c>
      <c r="K8" s="4">
        <f>D8*(1+WACC)^-E8</f>
        <v>52500000</v>
      </c>
      <c r="L8" s="4">
        <f>K8/(C8*H8)</f>
        <v>224.35897435897436</v>
      </c>
      <c r="M8" s="7">
        <f>WACC/(1-(1+WACC)^-F8)*L8</f>
        <v>13.250966373753954</v>
      </c>
    </row>
    <row r="9" spans="2:24" x14ac:dyDescent="0.25">
      <c r="C9" s="4"/>
      <c r="D9" s="4"/>
      <c r="E9" s="4"/>
      <c r="F9" s="4"/>
      <c r="G9" s="4"/>
    </row>
    <row r="10" spans="2:24" x14ac:dyDescent="0.25">
      <c r="D10" s="4"/>
    </row>
    <row r="11" spans="2:24" x14ac:dyDescent="0.25">
      <c r="B11" s="1" t="s">
        <v>8</v>
      </c>
    </row>
    <row r="12" spans="2:24" ht="105" x14ac:dyDescent="0.25">
      <c r="C12" s="13" t="s">
        <v>2</v>
      </c>
      <c r="D12" s="13" t="s">
        <v>3</v>
      </c>
      <c r="E12" s="13" t="s">
        <v>15</v>
      </c>
      <c r="F12" s="13" t="s">
        <v>10</v>
      </c>
      <c r="G12" s="13" t="s">
        <v>18</v>
      </c>
      <c r="H12" s="13" t="s">
        <v>14</v>
      </c>
      <c r="I12" s="13" t="s">
        <v>26</v>
      </c>
      <c r="J12" s="13" t="s">
        <v>27</v>
      </c>
      <c r="K12" s="13" t="s">
        <v>29</v>
      </c>
      <c r="L12" s="13" t="s">
        <v>28</v>
      </c>
      <c r="M12" s="13" t="s">
        <v>30</v>
      </c>
      <c r="N12" s="13" t="s">
        <v>33</v>
      </c>
      <c r="O12" s="13" t="s">
        <v>34</v>
      </c>
      <c r="P12" s="13" t="s">
        <v>35</v>
      </c>
      <c r="Q12" s="13" t="s">
        <v>36</v>
      </c>
      <c r="R12" s="13" t="s">
        <v>38</v>
      </c>
      <c r="S12" s="13" t="s">
        <v>37</v>
      </c>
      <c r="T12" s="13" t="s">
        <v>39</v>
      </c>
      <c r="U12" s="13" t="s">
        <v>40</v>
      </c>
    </row>
    <row r="13" spans="2:24" x14ac:dyDescent="0.25">
      <c r="B13" t="s">
        <v>11</v>
      </c>
      <c r="C13" s="2">
        <v>75</v>
      </c>
      <c r="D13" s="3">
        <v>18750000</v>
      </c>
      <c r="E13" s="2">
        <v>30</v>
      </c>
      <c r="F13" s="2">
        <v>50</v>
      </c>
      <c r="G13" s="3">
        <v>2000</v>
      </c>
      <c r="H13" s="3">
        <v>2500</v>
      </c>
      <c r="I13" s="6">
        <f>+H13-G13</f>
        <v>500</v>
      </c>
      <c r="J13" s="4">
        <f>+F13-50</f>
        <v>0</v>
      </c>
      <c r="K13" s="9">
        <f>+(F13-E13)*I13</f>
        <v>10000</v>
      </c>
      <c r="L13" s="9">
        <f>+(50-E13)*G13</f>
        <v>40000</v>
      </c>
      <c r="M13" s="9">
        <f>+J13*G13</f>
        <v>0</v>
      </c>
      <c r="N13" s="9">
        <f>+$D13*K13/($K13+$M13)</f>
        <v>18750000</v>
      </c>
      <c r="O13" s="9">
        <f>+$D13*M13/($K13+$M13)</f>
        <v>0</v>
      </c>
      <c r="P13" s="10">
        <f>IFERROR(+N13/(I13*C13),0)</f>
        <v>500</v>
      </c>
      <c r="Q13">
        <f>+O13/(C13*G13)</f>
        <v>0</v>
      </c>
      <c r="R13" s="7">
        <f>WACC/(1-(1+WACC)^-(F13-E13))*P13</f>
        <v>41.839665017466608</v>
      </c>
      <c r="S13">
        <f>+$X$5</f>
        <v>13.305995303877518</v>
      </c>
      <c r="T13" s="7">
        <f>IFERROR(WACC/(1-(1+WACC)^-(J13))*Q13,0)</f>
        <v>0</v>
      </c>
      <c r="U13" s="11">
        <f>SUMPRODUCT(K13:M13,R13:T13)/SUM(K13:M13)</f>
        <v>19.012729246595338</v>
      </c>
      <c r="W13" s="11"/>
    </row>
    <row r="14" spans="2:24" x14ac:dyDescent="0.25">
      <c r="B14" t="s">
        <v>12</v>
      </c>
      <c r="C14" s="2">
        <v>50</v>
      </c>
      <c r="D14" s="3">
        <v>7500000</v>
      </c>
      <c r="E14" s="2">
        <v>40</v>
      </c>
      <c r="F14" s="2">
        <v>70</v>
      </c>
      <c r="G14" s="3">
        <v>1750</v>
      </c>
      <c r="H14" s="3">
        <v>1750</v>
      </c>
      <c r="I14" s="6">
        <f>+H14-G14</f>
        <v>0</v>
      </c>
      <c r="J14" s="4">
        <f>+F14-50</f>
        <v>20</v>
      </c>
      <c r="K14" s="9">
        <f>+(F14-E14)*I14</f>
        <v>0</v>
      </c>
      <c r="L14" s="9">
        <f>+(50-E14)*G14</f>
        <v>17500</v>
      </c>
      <c r="M14" s="9">
        <f>+J14*G14</f>
        <v>35000</v>
      </c>
      <c r="N14" s="9">
        <f>+$D14*K14/($K14+$M14)</f>
        <v>0</v>
      </c>
      <c r="O14" s="9">
        <f>+$D14*M14/($K14+$M14)</f>
        <v>7500000</v>
      </c>
      <c r="P14" s="10">
        <f>IFERROR(+N14/(I14*C14),0)</f>
        <v>0</v>
      </c>
      <c r="Q14">
        <f>+O14/(C14*G14)</f>
        <v>85.714285714285708</v>
      </c>
      <c r="R14" s="7">
        <f>WACC/(1-(1+WACC)^-(F14-E14))*P14</f>
        <v>0</v>
      </c>
      <c r="S14">
        <f>+$X$5</f>
        <v>13.305995303877518</v>
      </c>
      <c r="T14" s="7">
        <f>IFERROR(WACC/(1-(1+WACC)^-(J14))*Q14,0)</f>
        <v>7.1725140029942756</v>
      </c>
      <c r="U14" s="11">
        <f>SUMPRODUCT(K14:M14,R14:T14)/SUM(K14:M14)</f>
        <v>9.217007769955357</v>
      </c>
      <c r="W14" s="11"/>
    </row>
    <row r="15" spans="2:24" x14ac:dyDescent="0.25">
      <c r="B15" t="s">
        <v>13</v>
      </c>
      <c r="C15" s="2">
        <v>350</v>
      </c>
      <c r="D15" s="3">
        <v>61250000</v>
      </c>
      <c r="E15" s="2">
        <v>45</v>
      </c>
      <c r="F15" s="2">
        <v>70</v>
      </c>
      <c r="G15" s="3">
        <v>2750</v>
      </c>
      <c r="H15" s="3">
        <v>3150</v>
      </c>
      <c r="I15" s="6">
        <f>+H15-G15</f>
        <v>400</v>
      </c>
      <c r="J15" s="4">
        <f>+F15-50</f>
        <v>20</v>
      </c>
      <c r="K15" s="9">
        <f>+(F15-E15)*I15</f>
        <v>10000</v>
      </c>
      <c r="L15" s="9">
        <f>+(50-E15)*G15</f>
        <v>13750</v>
      </c>
      <c r="M15" s="9">
        <f>+J15*G15</f>
        <v>55000</v>
      </c>
      <c r="N15" s="9">
        <f>+$D15*K15/($K15+$M15)</f>
        <v>9423076.9230769239</v>
      </c>
      <c r="O15" s="9">
        <f>+$D15*M15/($K15+$M15)</f>
        <v>51826923.07692308</v>
      </c>
      <c r="P15" s="10">
        <f>IFERROR(+N15/(I15*C15),0)</f>
        <v>67.307692307692321</v>
      </c>
      <c r="Q15">
        <f>+O15/(C15*G15)</f>
        <v>53.846153846153847</v>
      </c>
      <c r="R15" s="7">
        <f>WACC/(1-(1+WACC)^-(F15-E15))*P15</f>
        <v>5.0177449098564404</v>
      </c>
      <c r="S15">
        <f>+$X$5</f>
        <v>13.305995303877518</v>
      </c>
      <c r="T15" s="7">
        <f>IFERROR(WACC/(1-(1+WACC)^-(J15))*Q15,0)</f>
        <v>4.5058100788040969</v>
      </c>
      <c r="U15" s="11">
        <f>SUMPRODUCT(K15:M15,R15:T15)/SUM(K15:M15)</f>
        <v>6.1073579537918175</v>
      </c>
      <c r="W15" s="11"/>
    </row>
    <row r="20" spans="2:11" x14ac:dyDescent="0.25">
      <c r="B20" t="s">
        <v>41</v>
      </c>
      <c r="C20" t="s">
        <v>24</v>
      </c>
      <c r="D20" s="11">
        <f>(SUMPRODUCT(M5:M8,J5:J8)+SUMPRODUCT(K13:M13,R13:T13))/(SUM(J5:J8)+SUM(K13:M13))</f>
        <v>13.810123744046935</v>
      </c>
      <c r="K20" s="14" t="s">
        <v>43</v>
      </c>
    </row>
    <row r="21" spans="2:11" x14ac:dyDescent="0.25">
      <c r="B21" t="s">
        <v>42</v>
      </c>
      <c r="C21" t="s">
        <v>24</v>
      </c>
      <c r="D21" s="5">
        <f>(SUMPRODUCT(C5:C8,M5:M8)+SUMPRODUCT(C13:C15,U13:U15))/SUM(C5:C8,C13:C15)</f>
        <v>9.4359586065987031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</ds:schemaRefs>
</ds:datastoreItem>
</file>

<file path=customXml/itemProps2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A97457-09F7-43DC-9C6C-AE3CEA63E53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NS</vt:lpstr>
      <vt:lpstr>PJ</vt:lpstr>
      <vt:lpstr>ANBC</vt:lpstr>
      <vt:lpstr>WACC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Nick Sillito</cp:lastModifiedBy>
  <dcterms:created xsi:type="dcterms:W3CDTF">2022-06-10T07:33:58Z</dcterms:created>
  <dcterms:modified xsi:type="dcterms:W3CDTF">2022-06-13T13:15:51Z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0x0101002E542F9EDAB62B4B85130B33886C4CB3</vt:lpwstr>
  </property>
  <property fmtid="{D5CDD505-2E9C-101B-9397-08002B2CF9AE}" pid="3" name="MediaServiceImageTags">
    <vt:lpwstr/>
  </property>
</Properties>
</file>